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ce31f8c8fc7b065/Desktop/2026 Assessment/LV-SPREDSHEETS - NEW/"/>
    </mc:Choice>
  </mc:AlternateContent>
  <xr:revisionPtr revIDLastSave="1" documentId="11_01916FD57460F90850A1DABB3AD60E14259080FD" xr6:coauthVersionLast="47" xr6:coauthVersionMax="47" xr10:uidLastSave="{FE5964FE-CD4C-4F91-8D68-F0B4833F9A5C}"/>
  <bookViews>
    <workbookView xWindow="-108" yWindow="-108" windowWidth="23256" windowHeight="12456" xr2:uid="{00000000-000D-0000-FFFF-FFFF00000000}"/>
  </bookViews>
  <sheets>
    <sheet name="Land Analys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" i="1" l="1"/>
  <c r="O16" i="1"/>
  <c r="M16" i="1"/>
  <c r="L16" i="1"/>
  <c r="J16" i="1"/>
  <c r="H16" i="1"/>
  <c r="G16" i="1"/>
  <c r="D16" i="1"/>
  <c r="K2" i="1"/>
  <c r="R2" i="1" s="1"/>
  <c r="I2" i="1"/>
  <c r="K3" i="1"/>
  <c r="Q3" i="1" s="1"/>
  <c r="I3" i="1"/>
  <c r="K7" i="1"/>
  <c r="S7" i="1" s="1"/>
  <c r="I7" i="1"/>
  <c r="K5" i="1"/>
  <c r="S5" i="1" s="1"/>
  <c r="I5" i="1"/>
  <c r="K13" i="1"/>
  <c r="S13" i="1" s="1"/>
  <c r="I13" i="1"/>
  <c r="K14" i="1"/>
  <c r="Q14" i="1" s="1"/>
  <c r="I14" i="1"/>
  <c r="K15" i="1"/>
  <c r="Q15" i="1" s="1"/>
  <c r="I15" i="1"/>
  <c r="K4" i="1"/>
  <c r="Q4" i="1" s="1"/>
  <c r="I4" i="1"/>
  <c r="K12" i="1"/>
  <c r="R12" i="1" s="1"/>
  <c r="I12" i="1"/>
  <c r="K11" i="1"/>
  <c r="Q11" i="1" s="1"/>
  <c r="I11" i="1"/>
  <c r="K10" i="1"/>
  <c r="R10" i="1" s="1"/>
  <c r="I10" i="1"/>
  <c r="K8" i="1"/>
  <c r="S8" i="1" s="1"/>
  <c r="I8" i="1"/>
  <c r="K6" i="1"/>
  <c r="Q6" i="1" s="1"/>
  <c r="I6" i="1"/>
  <c r="K9" i="1"/>
  <c r="S9" i="1" s="1"/>
  <c r="I9" i="1"/>
  <c r="Q13" i="1" l="1"/>
  <c r="Q8" i="1"/>
  <c r="R5" i="1"/>
  <c r="Q5" i="1"/>
  <c r="I17" i="1"/>
  <c r="S6" i="1"/>
  <c r="Q12" i="1"/>
  <c r="I18" i="1"/>
  <c r="R3" i="1"/>
  <c r="Q2" i="1"/>
  <c r="S10" i="1"/>
  <c r="S12" i="1"/>
  <c r="Q10" i="1"/>
  <c r="S14" i="1"/>
  <c r="S2" i="1"/>
  <c r="R8" i="1"/>
  <c r="R13" i="1"/>
  <c r="R6" i="1"/>
  <c r="R4" i="1"/>
  <c r="R9" i="1"/>
  <c r="S11" i="1"/>
  <c r="S15" i="1"/>
  <c r="R7" i="1"/>
  <c r="Q9" i="1"/>
  <c r="R11" i="1"/>
  <c r="R15" i="1"/>
  <c r="Q7" i="1"/>
  <c r="K16" i="1"/>
  <c r="R14" i="1"/>
  <c r="S4" i="1"/>
  <c r="S3" i="1"/>
  <c r="M18" i="1" l="1"/>
  <c r="P18" i="1"/>
  <c r="S18" i="1"/>
</calcChain>
</file>

<file path=xl/sharedStrings.xml><?xml version="1.0" encoding="utf-8"?>
<sst xmlns="http://schemas.openxmlformats.org/spreadsheetml/2006/main" count="402" uniqueCount="118">
  <si>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</si>
  <si>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</si>
  <si>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</si>
  <si>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</si>
  <si>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</si>
  <si>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</si>
  <si>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</si>
  <si>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</si>
  <si>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</si>
  <si>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</si>
  <si>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</si>
  <si>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</si>
  <si>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</si>
  <si>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</si>
  <si>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</si>
  <si>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</si>
  <si>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</si>
  <si>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</si>
  <si>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</si>
  <si>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</si>
  <si>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</si>
  <si>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</si>
  <si>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</si>
  <si>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</si>
  <si>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</si>
  <si>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</si>
  <si>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</si>
  <si>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</si>
  <si>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</si>
  <si>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</si>
  <si>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</si>
  <si>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</si>
  <si>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</si>
  <si>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</si>
  <si>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</si>
  <si>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</si>
  <si>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</si>
  <si>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</si>
  <si>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</si>
  <si>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</si>
  <si>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</si>
  <si>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</si>
  <si>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</si>
  <si>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</si>
  <si>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004-650-001-00</t>
  </si>
  <si>
    <t>401 NILES ST</t>
  </si>
  <si>
    <t>WD</t>
  </si>
  <si>
    <t>03-ARM'S LENGTH</t>
  </si>
  <si>
    <t>'00002</t>
  </si>
  <si>
    <t>2024R-02997</t>
  </si>
  <si>
    <t>042-326-001-00</t>
  </si>
  <si>
    <t>VILLAGE OF LAKEVIEW</t>
  </si>
  <si>
    <t>11/14/2019</t>
  </si>
  <si>
    <t/>
  </si>
  <si>
    <t>401</t>
  </si>
  <si>
    <t>VILLAGE</t>
  </si>
  <si>
    <t>042-101-009-50</t>
  </si>
  <si>
    <t>223 WASHINGTON ST</t>
  </si>
  <si>
    <t>2023R-10548</t>
  </si>
  <si>
    <t>06/25/2015</t>
  </si>
  <si>
    <t>PTA</t>
  </si>
  <si>
    <t>06/30/2015</t>
  </si>
  <si>
    <t>042-107-004-00</t>
  </si>
  <si>
    <t>222 WASHINGTON AVE</t>
  </si>
  <si>
    <t>2024R-01723</t>
  </si>
  <si>
    <t>03/09/2018</t>
  </si>
  <si>
    <t>402</t>
  </si>
  <si>
    <t>042-108-001-00</t>
  </si>
  <si>
    <t>113 W SECOND ST</t>
  </si>
  <si>
    <t>2024R-07815</t>
  </si>
  <si>
    <t>07/23/2015</t>
  </si>
  <si>
    <t>042-270-025-00</t>
  </si>
  <si>
    <t>111 NORTH ST</t>
  </si>
  <si>
    <t>2024R-08490</t>
  </si>
  <si>
    <t>042-318-002-00</t>
  </si>
  <si>
    <t>225 N LINCOLN AVE</t>
  </si>
  <si>
    <t>2024R-08604</t>
  </si>
  <si>
    <t>08/09/2015</t>
  </si>
  <si>
    <t>042-321-001-50</t>
  </si>
  <si>
    <t>232 N ELLIOTT</t>
  </si>
  <si>
    <t>2023R-06912</t>
  </si>
  <si>
    <t>11/05/2018</t>
  </si>
  <si>
    <t>042-322-001-00</t>
  </si>
  <si>
    <t>308 NILES ST</t>
  </si>
  <si>
    <t>2024R-11561</t>
  </si>
  <si>
    <t>08/17/1993</t>
  </si>
  <si>
    <t>042-322-004-00</t>
  </si>
  <si>
    <t>307 HENRY ST</t>
  </si>
  <si>
    <t>2024R-09976</t>
  </si>
  <si>
    <t>07/31/2015</t>
  </si>
  <si>
    <t>042-329-001-00</t>
  </si>
  <si>
    <t>105 NILES ST</t>
  </si>
  <si>
    <t>2024R-10080</t>
  </si>
  <si>
    <t>042-329-004-00</t>
  </si>
  <si>
    <t>133 NILES ST</t>
  </si>
  <si>
    <t>2023R-06927</t>
  </si>
  <si>
    <t>042-331-002-00</t>
  </si>
  <si>
    <t>708 WASHINGTON ST</t>
  </si>
  <si>
    <t>2023R-12264</t>
  </si>
  <si>
    <t>042-337-007-00</t>
  </si>
  <si>
    <t>824 E RICHARDSON AVE</t>
  </si>
  <si>
    <t>2023R-06400</t>
  </si>
  <si>
    <t>08/16/2015</t>
  </si>
  <si>
    <t>09/18/2015</t>
  </si>
  <si>
    <t>042-612-004-00</t>
  </si>
  <si>
    <t>212 MACOMBER ST</t>
  </si>
  <si>
    <t>2023R-04773</t>
  </si>
  <si>
    <t>Totals:</t>
  </si>
  <si>
    <t>Sale. Ratio =&gt;</t>
  </si>
  <si>
    <t>Std. Dev. =&gt;</t>
  </si>
  <si>
    <t>Average</t>
  </si>
  <si>
    <t>per FF=&gt;</t>
  </si>
  <si>
    <t>per Net Acre=&gt;</t>
  </si>
  <si>
    <t>per SqFt=&gt;</t>
  </si>
  <si>
    <t>VILLAGE LOTS  LAND ANALYSIS</t>
  </si>
  <si>
    <t xml:space="preserve">2026 CATO  TOWNSHIP/VILLAGE OF LAKEVIEW </t>
  </si>
  <si>
    <t>CALCULATED  $240 FF</t>
  </si>
  <si>
    <t>APPLIED    $105 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</si>
</sst>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164" formatCode="\$#,##0_);[Red]\(\$#,##0\)"/>
    <numFmt numFmtId="165" formatCode="#0.00_);[Red]\(#0.00\)"/>
    <numFmt numFmtId="166" formatCode="#,##0.0_);[Red]\(#,##0.0\)"/>
    <numFmt numFmtId="167" formatCode="#0.0_);[Red]\(#0.0\)"/>
    <numFmt numFmtId="168" formatCode="\$#,##0.00_);[Red]\(\$#,##0.00\)"/>
    <numFmt numFmtId="169" formatCode="\$#,##0_);[Red]\(\$#,##0.00\)"/>
    <numFmt numFmtId="170" formatCode="mm/dd/yy"/>
  </numFmts>
  <fonts count="5" x14ac:knownFonts="1">
    <font>
      <b/>
      <sz val="11"/>
      <color indexed="8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</patternFill>
    </fill>
    <fill>
      <patternFill patternType="solid">
        <fgColor rgb="FFA7E4CD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167" fontId="1" fillId="2" borderId="1" xfId="0" applyNumberFormat="1" applyFont="1" applyFill="1" applyBorder="1" applyAlignment="1">
      <alignment horizontal="center"/>
    </xf>
    <xf numFmtId="40" fontId="1" fillId="2" borderId="1" xfId="0" applyNumberFormat="1" applyFont="1" applyFill="1" applyBorder="1" applyAlignment="1">
      <alignment horizontal="center"/>
    </xf>
    <xf numFmtId="168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4" borderId="1" xfId="0" applyFill="1" applyBorder="1"/>
    <xf numFmtId="14" fontId="0" fillId="4" borderId="1" xfId="0" applyNumberFormat="1" applyFill="1" applyBorder="1"/>
    <xf numFmtId="164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167" fontId="0" fillId="4" borderId="1" xfId="0" applyNumberFormat="1" applyFill="1" applyBorder="1"/>
    <xf numFmtId="40" fontId="0" fillId="4" borderId="1" xfId="0" applyNumberFormat="1" applyFill="1" applyBorder="1"/>
    <xf numFmtId="168" fontId="0" fillId="4" borderId="1" xfId="0" applyNumberFormat="1" applyFill="1" applyBorder="1"/>
    <xf numFmtId="0" fontId="0" fillId="4" borderId="1" xfId="0" applyFill="1" applyBorder="1" applyAlignment="1">
      <alignment horizontal="right"/>
    </xf>
    <xf numFmtId="0" fontId="2" fillId="4" borderId="1" xfId="0" applyFont="1" applyFill="1" applyBorder="1"/>
    <xf numFmtId="14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167" fontId="2" fillId="4" borderId="1" xfId="0" applyNumberFormat="1" applyFont="1" applyFill="1" applyBorder="1"/>
    <xf numFmtId="40" fontId="2" fillId="4" borderId="1" xfId="0" applyNumberFormat="1" applyFont="1" applyFill="1" applyBorder="1"/>
    <xf numFmtId="168" fontId="2" fillId="4" borderId="1" xfId="0" applyNumberFormat="1" applyFont="1" applyFill="1" applyBorder="1"/>
    <xf numFmtId="0" fontId="2" fillId="4" borderId="1" xfId="0" applyFont="1" applyFill="1" applyBorder="1" applyAlignment="1">
      <alignment horizontal="right"/>
    </xf>
    <xf numFmtId="0" fontId="2" fillId="4" borderId="2" xfId="0" applyFont="1" applyFill="1" applyBorder="1"/>
    <xf numFmtId="14" fontId="2" fillId="4" borderId="2" xfId="0" applyNumberFormat="1" applyFont="1" applyFill="1" applyBorder="1"/>
    <xf numFmtId="164" fontId="2" fillId="4" borderId="2" xfId="0" applyNumberFormat="1" applyFont="1" applyFill="1" applyBorder="1"/>
    <xf numFmtId="165" fontId="2" fillId="4" borderId="2" xfId="0" applyNumberFormat="1" applyFont="1" applyFill="1" applyBorder="1"/>
    <xf numFmtId="166" fontId="2" fillId="4" borderId="2" xfId="0" applyNumberFormat="1" applyFont="1" applyFill="1" applyBorder="1"/>
    <xf numFmtId="167" fontId="2" fillId="4" borderId="2" xfId="0" applyNumberFormat="1" applyFont="1" applyFill="1" applyBorder="1"/>
    <xf numFmtId="40" fontId="2" fillId="4" borderId="2" xfId="0" applyNumberFormat="1" applyFont="1" applyFill="1" applyBorder="1"/>
    <xf numFmtId="168" fontId="2" fillId="4" borderId="2" xfId="0" applyNumberFormat="1" applyFont="1" applyFill="1" applyBorder="1"/>
    <xf numFmtId="0" fontId="2" fillId="4" borderId="2" xfId="0" applyFont="1" applyFill="1" applyBorder="1" applyAlignment="1">
      <alignment horizontal="right"/>
    </xf>
    <xf numFmtId="0" fontId="2" fillId="4" borderId="3" xfId="0" applyFont="1" applyFill="1" applyBorder="1"/>
    <xf numFmtId="14" fontId="2" fillId="4" borderId="3" xfId="0" applyNumberFormat="1" applyFont="1" applyFill="1" applyBorder="1"/>
    <xf numFmtId="164" fontId="2" fillId="4" borderId="3" xfId="0" applyNumberFormat="1" applyFont="1" applyFill="1" applyBorder="1"/>
    <xf numFmtId="165" fontId="2" fillId="4" borderId="3" xfId="0" applyNumberFormat="1" applyFont="1" applyFill="1" applyBorder="1"/>
    <xf numFmtId="167" fontId="2" fillId="4" borderId="3" xfId="0" applyNumberFormat="1" applyFont="1" applyFill="1" applyBorder="1"/>
    <xf numFmtId="40" fontId="2" fillId="4" borderId="3" xfId="0" applyNumberFormat="1" applyFont="1" applyFill="1" applyBorder="1"/>
    <xf numFmtId="168" fontId="2" fillId="4" borderId="3" xfId="0" applyNumberFormat="1" applyFont="1" applyFill="1" applyBorder="1"/>
    <xf numFmtId="0" fontId="2" fillId="4" borderId="3" xfId="0" applyFont="1" applyFill="1" applyBorder="1" applyAlignment="1">
      <alignment horizontal="right"/>
    </xf>
    <xf numFmtId="169" fontId="2" fillId="4" borderId="3" xfId="0" applyNumberFormat="1" applyFont="1" applyFill="1" applyBorder="1"/>
    <xf numFmtId="0" fontId="3" fillId="3" borderId="1" xfId="0" applyFont="1" applyFill="1" applyBorder="1"/>
    <xf numFmtId="14" fontId="3" fillId="3" borderId="1" xfId="0" applyNumberFormat="1" applyFont="1" applyFill="1" applyBorder="1"/>
    <xf numFmtId="164" fontId="3" fillId="3" borderId="1" xfId="0" applyNumberFormat="1" applyFont="1" applyFill="1" applyBorder="1"/>
    <xf numFmtId="165" fontId="3" fillId="3" borderId="1" xfId="0" applyNumberFormat="1" applyFont="1" applyFill="1" applyBorder="1"/>
    <xf numFmtId="166" fontId="3" fillId="3" borderId="1" xfId="0" applyNumberFormat="1" applyFont="1" applyFill="1" applyBorder="1"/>
    <xf numFmtId="167" fontId="3" fillId="3" borderId="1" xfId="0" applyNumberFormat="1" applyFont="1" applyFill="1" applyBorder="1"/>
    <xf numFmtId="40" fontId="3" fillId="3" borderId="1" xfId="0" applyNumberFormat="1" applyFont="1" applyFill="1" applyBorder="1"/>
    <xf numFmtId="168" fontId="3" fillId="3" borderId="1" xfId="0" applyNumberFormat="1" applyFont="1" applyFill="1" applyBorder="1"/>
    <xf numFmtId="0" fontId="3" fillId="3" borderId="1" xfId="0" applyFont="1" applyFill="1" applyBorder="1" applyAlignment="1">
      <alignment horizontal="right"/>
    </xf>
    <xf numFmtId="0" fontId="3" fillId="0" borderId="0" xfId="0" applyFont="1"/>
    <xf numFmtId="0" fontId="3" fillId="4" borderId="1" xfId="0" applyFont="1" applyFill="1" applyBorder="1"/>
    <xf numFmtId="14" fontId="3" fillId="4" borderId="1" xfId="0" applyNumberFormat="1" applyFont="1" applyFill="1" applyBorder="1"/>
    <xf numFmtId="164" fontId="3" fillId="4" borderId="1" xfId="0" applyNumberFormat="1" applyFont="1" applyFill="1" applyBorder="1"/>
    <xf numFmtId="165" fontId="3" fillId="4" borderId="1" xfId="0" applyNumberFormat="1" applyFont="1" applyFill="1" applyBorder="1"/>
    <xf numFmtId="166" fontId="3" fillId="4" borderId="1" xfId="0" applyNumberFormat="1" applyFont="1" applyFill="1" applyBorder="1"/>
    <xf numFmtId="167" fontId="3" fillId="4" borderId="1" xfId="0" applyNumberFormat="1" applyFont="1" applyFill="1" applyBorder="1"/>
    <xf numFmtId="40" fontId="3" fillId="4" borderId="1" xfId="0" applyNumberFormat="1" applyFont="1" applyFill="1" applyBorder="1"/>
    <xf numFmtId="168" fontId="3" fillId="4" borderId="1" xfId="0" applyNumberFormat="1" applyFont="1" applyFill="1" applyBorder="1"/>
    <xf numFmtId="0" fontId="3" fillId="4" borderId="1" xfId="0" applyFont="1" applyFill="1" applyBorder="1" applyAlignment="1">
      <alignment horizontal="right"/>
    </xf>
    <xf numFmtId="0" fontId="4" fillId="0" borderId="1" xfId="0" applyFont="1" applyBorder="1"/>
    <xf numFmtId="170" fontId="4" fillId="0" borderId="1" xfId="0" applyNumberFormat="1" applyFont="1" applyBorder="1"/>
    <xf numFmtId="6" fontId="4" fillId="0" borderId="1" xfId="0" applyNumberFormat="1" applyFont="1" applyBorder="1"/>
    <xf numFmtId="0" fontId="0" fillId="0" borderId="1" xfId="0" applyBorder="1"/>
    <xf numFmtId="170" fontId="0" fillId="0" borderId="1" xfId="0" applyNumberFormat="1" applyBorder="1"/>
    <xf numFmtId="6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27"/>
  <sheetViews>
    <sheetView tabSelected="1" workbookViewId="0">
      <selection activeCell="D28" sqref="D28"/>
    </sheetView>
  </sheetViews>
  <sheetFormatPr defaultRowHeight="14.4" x14ac:dyDescent="0.3"/>
  <cols>
    <col min="1" max="1" width="14.33203125" bestFit="1" customWidth="1" collapsed="1"/>
    <col min="2" max="2" width="22" bestFit="1" customWidth="1" collapsed="1"/>
    <col min="3" max="3" width="10.6640625" bestFit="1" customWidth="1" collapsed="1"/>
    <col min="4" max="4" width="10.88671875" bestFit="1" customWidth="1" collapsed="1"/>
    <col min="5" max="5" width="5.5546875" bestFit="1" customWidth="1" collapsed="1"/>
    <col min="6" max="6" width="17.33203125" bestFit="1" customWidth="1" collapsed="1"/>
    <col min="7" max="7" width="10.88671875" bestFit="1" customWidth="1" collapsed="1"/>
    <col min="8" max="8" width="14.6640625" bestFit="1" customWidth="1" collapsed="1"/>
    <col min="9" max="9" width="12.88671875" bestFit="1" customWidth="1" collapsed="1"/>
    <col min="10" max="10" width="13.44140625" bestFit="1" customWidth="1" collapsed="1"/>
    <col min="11" max="11" width="13.33203125" bestFit="1" customWidth="1" collapsed="1"/>
    <col min="12" max="12" width="14.44140625" bestFit="1" customWidth="1" collapsed="1"/>
    <col min="13" max="13" width="11.109375" bestFit="1" customWidth="1" collapsed="1"/>
    <col min="14" max="14" width="6.44140625" bestFit="1" customWidth="1" collapsed="1"/>
    <col min="15" max="15" width="14.33203125" bestFit="1" customWidth="1" collapsed="1"/>
    <col min="16" max="16" width="10.88671875" bestFit="1" customWidth="1" collapsed="1"/>
    <col min="17" max="17" width="10" bestFit="1" customWidth="1" collapsed="1"/>
    <col min="18" max="18" width="12" bestFit="1" customWidth="1" collapsed="1"/>
    <col min="19" max="19" width="11.88671875" bestFit="1" customWidth="1" collapsed="1"/>
    <col min="20" max="20" width="11.6640625" bestFit="1" customWidth="1" collapsed="1"/>
    <col min="21" max="21" width="8.6640625" bestFit="1" customWidth="1" collapsed="1"/>
    <col min="22" max="22" width="11.88671875" bestFit="1" customWidth="1" collapsed="1"/>
    <col min="23" max="23" width="19.44140625" bestFit="1" customWidth="1" collapsed="1"/>
    <col min="24" max="24" width="21" bestFit="1" customWidth="1" collapsed="1"/>
    <col min="25" max="25" width="6.88671875" bestFit="1" customWidth="1" collapsed="1"/>
    <col min="26" max="26" width="6.44140625" bestFit="1" customWidth="1" collapsed="1"/>
    <col min="27" max="27" width="14.44140625" bestFit="1" customWidth="1" collapsed="1"/>
    <col min="28" max="28" width="9.44140625" bestFit="1" customWidth="1" collapsed="1"/>
    <col min="29" max="29" width="5.44140625" bestFit="1" customWidth="1" collapsed="1"/>
    <col min="30" max="32" width="12.44140625" bestFit="1" customWidth="1" collapsed="1"/>
    <col min="33" max="33" width="18" bestFit="1" customWidth="1" collapsed="1"/>
    <col min="34" max="34" width="6.88671875" bestFit="1" customWidth="1" collapsed="1"/>
    <col min="35" max="35" width="13.109375" bestFit="1" customWidth="1" collapsed="1"/>
    <col min="36" max="36" width="6.5546875" bestFit="1" customWidth="1" collapsed="1"/>
    <col min="37" max="37" width="19.88671875" bestFit="1" customWidth="1" collapsed="1"/>
    <col min="38" max="38" width="16.44140625" bestFit="1" customWidth="1" collapsed="1"/>
    <col min="39" max="39" width="15.44140625" bestFit="1" customWidth="1" collapsed="1"/>
    <col min="40" max="40" width="11" bestFit="1" customWidth="1" collapsed="1"/>
    <col min="41" max="41" width="16.88671875" bestFit="1" customWidth="1" collapsed="1"/>
    <col min="42" max="42" width="21.5546875" bestFit="1" customWidth="1" collapsed="1"/>
    <col min="43" max="43" width="21" bestFit="1" customWidth="1" collapsed="1"/>
    <col min="44" max="44" width="16.5546875" bestFit="1" customWidth="1" collapsed="1"/>
  </cols>
  <sheetData>
    <row r="1" spans="1:44" x14ac:dyDescent="0.3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5" t="s">
        <v>12</v>
      </c>
      <c r="N1" s="6" t="s">
        <v>13</v>
      </c>
      <c r="O1" s="7" t="s">
        <v>14</v>
      </c>
      <c r="P1" s="7" t="s">
        <v>15</v>
      </c>
      <c r="Q1" s="3" t="s">
        <v>16</v>
      </c>
      <c r="R1" s="3" t="s">
        <v>17</v>
      </c>
      <c r="S1" s="8" t="s">
        <v>18</v>
      </c>
      <c r="T1" s="7" t="s">
        <v>19</v>
      </c>
      <c r="U1" s="9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</row>
    <row r="2" spans="1:44" s="55" customFormat="1" x14ac:dyDescent="0.3">
      <c r="A2" s="46" t="s">
        <v>104</v>
      </c>
      <c r="B2" s="46" t="s">
        <v>105</v>
      </c>
      <c r="C2" s="47">
        <v>45055</v>
      </c>
      <c r="D2" s="48">
        <v>179900</v>
      </c>
      <c r="E2" s="46" t="s">
        <v>46</v>
      </c>
      <c r="F2" s="46" t="s">
        <v>47</v>
      </c>
      <c r="G2" s="48">
        <v>179900</v>
      </c>
      <c r="H2" s="48">
        <v>60000</v>
      </c>
      <c r="I2" s="49">
        <f t="shared" ref="I2:I15" si="0">H2/G2*100</f>
        <v>33.35186214563646</v>
      </c>
      <c r="J2" s="48">
        <v>160272</v>
      </c>
      <c r="K2" s="48">
        <f>G2-152767</f>
        <v>27133</v>
      </c>
      <c r="L2" s="48">
        <v>7505</v>
      </c>
      <c r="M2" s="50">
        <v>79</v>
      </c>
      <c r="N2" s="51">
        <v>120</v>
      </c>
      <c r="O2" s="52">
        <v>0.218</v>
      </c>
      <c r="P2" s="52">
        <v>0.218</v>
      </c>
      <c r="Q2" s="48">
        <f t="shared" ref="Q2:Q15" si="1">K2/M2</f>
        <v>343.45569620253167</v>
      </c>
      <c r="R2" s="48">
        <f t="shared" ref="R2:R15" si="2">K2/O2</f>
        <v>124463.30275229357</v>
      </c>
      <c r="S2" s="53">
        <f t="shared" ref="S2:S15" si="3">K2/O2/43560</f>
        <v>2.8572842688772631</v>
      </c>
      <c r="T2" s="52">
        <v>79</v>
      </c>
      <c r="U2" s="54" t="s">
        <v>48</v>
      </c>
      <c r="V2" s="46" t="s">
        <v>106</v>
      </c>
      <c r="W2" s="46" t="s">
        <v>53</v>
      </c>
      <c r="X2" s="46" t="s">
        <v>51</v>
      </c>
      <c r="Y2" s="46">
        <v>0</v>
      </c>
      <c r="Z2" s="46">
        <v>1</v>
      </c>
      <c r="AA2" s="46" t="s">
        <v>103</v>
      </c>
      <c r="AB2" s="46" t="s">
        <v>53</v>
      </c>
      <c r="AC2" s="46" t="s">
        <v>54</v>
      </c>
      <c r="AD2" s="46" t="s">
        <v>55</v>
      </c>
      <c r="AE2" s="46" t="s">
        <v>55</v>
      </c>
      <c r="AF2" s="46" t="s">
        <v>55</v>
      </c>
      <c r="AG2" s="46" t="s">
        <v>53</v>
      </c>
      <c r="AH2" s="46" t="s">
        <v>53</v>
      </c>
      <c r="AI2" s="46" t="s">
        <v>53</v>
      </c>
      <c r="AJ2" s="46" t="s">
        <v>53</v>
      </c>
      <c r="AK2" s="46" t="s">
        <v>53</v>
      </c>
      <c r="AL2" s="46" t="s">
        <v>53</v>
      </c>
      <c r="AM2" s="46" t="s">
        <v>53</v>
      </c>
      <c r="AN2" s="46" t="s">
        <v>53</v>
      </c>
      <c r="AO2" s="46" t="s">
        <v>53</v>
      </c>
      <c r="AP2" s="46" t="s">
        <v>53</v>
      </c>
      <c r="AQ2" s="46" t="s">
        <v>53</v>
      </c>
      <c r="AR2" s="46" t="s">
        <v>53</v>
      </c>
    </row>
    <row r="3" spans="1:44" s="55" customFormat="1" x14ac:dyDescent="0.3">
      <c r="A3" s="56" t="s">
        <v>99</v>
      </c>
      <c r="B3" s="56" t="s">
        <v>100</v>
      </c>
      <c r="C3" s="57">
        <v>45100</v>
      </c>
      <c r="D3" s="58">
        <v>158000</v>
      </c>
      <c r="E3" s="56" t="s">
        <v>46</v>
      </c>
      <c r="F3" s="56" t="s">
        <v>47</v>
      </c>
      <c r="G3" s="58">
        <v>158000</v>
      </c>
      <c r="H3" s="58">
        <v>56500</v>
      </c>
      <c r="I3" s="59">
        <f t="shared" si="0"/>
        <v>35.75949367088608</v>
      </c>
      <c r="J3" s="58">
        <v>150782</v>
      </c>
      <c r="K3" s="58">
        <f>G3-144512</f>
        <v>13488</v>
      </c>
      <c r="L3" s="58">
        <v>6270</v>
      </c>
      <c r="M3" s="60">
        <v>66</v>
      </c>
      <c r="N3" s="61">
        <v>165</v>
      </c>
      <c r="O3" s="62">
        <v>0.25</v>
      </c>
      <c r="P3" s="62">
        <v>0.25</v>
      </c>
      <c r="Q3" s="58">
        <f t="shared" si="1"/>
        <v>204.36363636363637</v>
      </c>
      <c r="R3" s="58">
        <f t="shared" si="2"/>
        <v>53952</v>
      </c>
      <c r="S3" s="63">
        <f t="shared" si="3"/>
        <v>1.2385674931129476</v>
      </c>
      <c r="T3" s="62">
        <v>66</v>
      </c>
      <c r="U3" s="64" t="s">
        <v>48</v>
      </c>
      <c r="V3" s="56" t="s">
        <v>101</v>
      </c>
      <c r="W3" s="56" t="s">
        <v>53</v>
      </c>
      <c r="X3" s="56" t="s">
        <v>51</v>
      </c>
      <c r="Y3" s="56">
        <v>0</v>
      </c>
      <c r="Z3" s="56">
        <v>1</v>
      </c>
      <c r="AA3" s="56" t="s">
        <v>102</v>
      </c>
      <c r="AB3" s="56" t="s">
        <v>53</v>
      </c>
      <c r="AC3" s="56" t="s">
        <v>54</v>
      </c>
      <c r="AD3" s="56" t="s">
        <v>55</v>
      </c>
      <c r="AE3" s="56"/>
      <c r="AF3" s="56"/>
      <c r="AG3" s="56" t="s">
        <v>53</v>
      </c>
      <c r="AH3" s="56" t="s">
        <v>53</v>
      </c>
      <c r="AI3" s="56" t="s">
        <v>53</v>
      </c>
      <c r="AJ3" s="56" t="s">
        <v>53</v>
      </c>
      <c r="AK3" s="56" t="s">
        <v>53</v>
      </c>
      <c r="AL3" s="56" t="s">
        <v>53</v>
      </c>
      <c r="AM3" s="56" t="s">
        <v>53</v>
      </c>
      <c r="AN3" s="56" t="s">
        <v>53</v>
      </c>
      <c r="AO3" s="56" t="s">
        <v>53</v>
      </c>
      <c r="AP3" s="56" t="s">
        <v>53</v>
      </c>
      <c r="AQ3" s="56" t="s">
        <v>53</v>
      </c>
      <c r="AR3" s="56" t="s">
        <v>53</v>
      </c>
    </row>
    <row r="4" spans="1:44" s="55" customFormat="1" x14ac:dyDescent="0.3">
      <c r="A4" s="56" t="s">
        <v>78</v>
      </c>
      <c r="B4" s="56" t="s">
        <v>79</v>
      </c>
      <c r="C4" s="57">
        <v>45113</v>
      </c>
      <c r="D4" s="58">
        <v>215000</v>
      </c>
      <c r="E4" s="56" t="s">
        <v>60</v>
      </c>
      <c r="F4" s="56" t="s">
        <v>47</v>
      </c>
      <c r="G4" s="58">
        <v>215000</v>
      </c>
      <c r="H4" s="58">
        <v>82500</v>
      </c>
      <c r="I4" s="59">
        <f t="shared" si="0"/>
        <v>38.372093023255815</v>
      </c>
      <c r="J4" s="58">
        <v>224186</v>
      </c>
      <c r="K4" s="58">
        <f>G4-211836</f>
        <v>3164</v>
      </c>
      <c r="L4" s="58">
        <v>12350</v>
      </c>
      <c r="M4" s="60">
        <v>130</v>
      </c>
      <c r="N4" s="61">
        <v>66</v>
      </c>
      <c r="O4" s="62">
        <v>0.19700000000000001</v>
      </c>
      <c r="P4" s="62">
        <v>0.19700000000000001</v>
      </c>
      <c r="Q4" s="58">
        <f t="shared" si="1"/>
        <v>24.338461538461537</v>
      </c>
      <c r="R4" s="58">
        <f t="shared" si="2"/>
        <v>16060.913705583756</v>
      </c>
      <c r="S4" s="63">
        <f t="shared" si="3"/>
        <v>0.36870784448080252</v>
      </c>
      <c r="T4" s="62">
        <v>130</v>
      </c>
      <c r="U4" s="64" t="s">
        <v>48</v>
      </c>
      <c r="V4" s="56" t="s">
        <v>80</v>
      </c>
      <c r="W4" s="56" t="s">
        <v>53</v>
      </c>
      <c r="X4" s="56" t="s">
        <v>51</v>
      </c>
      <c r="Y4" s="56">
        <v>0</v>
      </c>
      <c r="Z4" s="56">
        <v>1</v>
      </c>
      <c r="AA4" s="56" t="s">
        <v>81</v>
      </c>
      <c r="AB4" s="56" t="s">
        <v>53</v>
      </c>
      <c r="AC4" s="56" t="s">
        <v>54</v>
      </c>
      <c r="AD4" s="56" t="s">
        <v>55</v>
      </c>
      <c r="AE4" s="56" t="s">
        <v>55</v>
      </c>
      <c r="AF4" s="56"/>
      <c r="AG4" s="56" t="s">
        <v>53</v>
      </c>
      <c r="AH4" s="56" t="s">
        <v>53</v>
      </c>
      <c r="AI4" s="56" t="s">
        <v>53</v>
      </c>
      <c r="AJ4" s="56" t="s">
        <v>53</v>
      </c>
      <c r="AK4" s="56" t="s">
        <v>53</v>
      </c>
      <c r="AL4" s="56" t="s">
        <v>53</v>
      </c>
      <c r="AM4" s="56" t="s">
        <v>53</v>
      </c>
      <c r="AN4" s="56" t="s">
        <v>53</v>
      </c>
      <c r="AO4" s="56" t="s">
        <v>53</v>
      </c>
      <c r="AP4" s="56" t="s">
        <v>53</v>
      </c>
      <c r="AQ4" s="56" t="s">
        <v>53</v>
      </c>
      <c r="AR4" s="56" t="s">
        <v>53</v>
      </c>
    </row>
    <row r="5" spans="1:44" s="55" customFormat="1" x14ac:dyDescent="0.3">
      <c r="A5" s="56" t="s">
        <v>93</v>
      </c>
      <c r="B5" s="56" t="s">
        <v>94</v>
      </c>
      <c r="C5" s="57">
        <v>45114</v>
      </c>
      <c r="D5" s="58">
        <v>145000</v>
      </c>
      <c r="E5" s="56" t="s">
        <v>46</v>
      </c>
      <c r="F5" s="56" t="s">
        <v>47</v>
      </c>
      <c r="G5" s="58">
        <v>145000</v>
      </c>
      <c r="H5" s="58">
        <v>58300</v>
      </c>
      <c r="I5" s="59">
        <f t="shared" si="0"/>
        <v>40.206896551724135</v>
      </c>
      <c r="J5" s="58">
        <v>152174</v>
      </c>
      <c r="K5" s="58">
        <f>G5-138684</f>
        <v>6316</v>
      </c>
      <c r="L5" s="58">
        <v>13490</v>
      </c>
      <c r="M5" s="60">
        <v>142</v>
      </c>
      <c r="N5" s="61">
        <v>84.4</v>
      </c>
      <c r="O5" s="62">
        <v>0.27500000000000002</v>
      </c>
      <c r="P5" s="62">
        <v>0.27500000000000002</v>
      </c>
      <c r="Q5" s="58">
        <f t="shared" si="1"/>
        <v>44.478873239436616</v>
      </c>
      <c r="R5" s="58">
        <f t="shared" si="2"/>
        <v>22967.272727272724</v>
      </c>
      <c r="S5" s="63">
        <f t="shared" si="3"/>
        <v>0.52725603138826271</v>
      </c>
      <c r="T5" s="62">
        <v>142</v>
      </c>
      <c r="U5" s="64" t="s">
        <v>48</v>
      </c>
      <c r="V5" s="56" t="s">
        <v>95</v>
      </c>
      <c r="W5" s="56" t="s">
        <v>53</v>
      </c>
      <c r="X5" s="56" t="s">
        <v>51</v>
      </c>
      <c r="Y5" s="56">
        <v>0</v>
      </c>
      <c r="Z5" s="56">
        <v>1</v>
      </c>
      <c r="AA5" s="56" t="s">
        <v>70</v>
      </c>
      <c r="AB5" s="56" t="s">
        <v>53</v>
      </c>
      <c r="AC5" s="56" t="s">
        <v>54</v>
      </c>
      <c r="AD5" s="56" t="s">
        <v>55</v>
      </c>
      <c r="AE5" s="56" t="s">
        <v>55</v>
      </c>
      <c r="AF5" s="56"/>
      <c r="AG5" s="56" t="s">
        <v>53</v>
      </c>
      <c r="AH5" s="56" t="s">
        <v>53</v>
      </c>
      <c r="AI5" s="56" t="s">
        <v>53</v>
      </c>
      <c r="AJ5" s="56" t="s">
        <v>53</v>
      </c>
      <c r="AK5" s="56" t="s">
        <v>53</v>
      </c>
      <c r="AL5" s="56" t="s">
        <v>53</v>
      </c>
      <c r="AM5" s="56" t="s">
        <v>53</v>
      </c>
      <c r="AN5" s="56" t="s">
        <v>53</v>
      </c>
      <c r="AO5" s="56" t="s">
        <v>53</v>
      </c>
      <c r="AP5" s="56" t="s">
        <v>53</v>
      </c>
      <c r="AQ5" s="56" t="s">
        <v>53</v>
      </c>
      <c r="AR5" s="56" t="s">
        <v>53</v>
      </c>
    </row>
    <row r="6" spans="1:44" s="55" customFormat="1" x14ac:dyDescent="0.3">
      <c r="A6" s="46" t="s">
        <v>56</v>
      </c>
      <c r="B6" s="46" t="s">
        <v>57</v>
      </c>
      <c r="C6" s="47">
        <v>45224</v>
      </c>
      <c r="D6" s="48">
        <v>87744</v>
      </c>
      <c r="E6" s="46" t="s">
        <v>46</v>
      </c>
      <c r="F6" s="46" t="s">
        <v>47</v>
      </c>
      <c r="G6" s="48">
        <v>87744</v>
      </c>
      <c r="H6" s="48">
        <v>33500</v>
      </c>
      <c r="I6" s="49">
        <f t="shared" si="0"/>
        <v>38.179248723559446</v>
      </c>
      <c r="J6" s="48">
        <v>89522</v>
      </c>
      <c r="K6" s="48">
        <f>G6-86387</f>
        <v>1357</v>
      </c>
      <c r="L6" s="48">
        <v>3135</v>
      </c>
      <c r="M6" s="50">
        <v>33</v>
      </c>
      <c r="N6" s="51">
        <v>165</v>
      </c>
      <c r="O6" s="52">
        <v>0.125</v>
      </c>
      <c r="P6" s="52">
        <v>0.125</v>
      </c>
      <c r="Q6" s="48">
        <f t="shared" si="1"/>
        <v>41.121212121212125</v>
      </c>
      <c r="R6" s="48">
        <f t="shared" si="2"/>
        <v>10856</v>
      </c>
      <c r="S6" s="53">
        <f t="shared" si="3"/>
        <v>0.24921946740128559</v>
      </c>
      <c r="T6" s="52">
        <v>33</v>
      </c>
      <c r="U6" s="54" t="s">
        <v>48</v>
      </c>
      <c r="V6" s="46" t="s">
        <v>58</v>
      </c>
      <c r="W6" s="46" t="s">
        <v>53</v>
      </c>
      <c r="X6" s="46" t="s">
        <v>51</v>
      </c>
      <c r="Y6" s="46">
        <v>0</v>
      </c>
      <c r="Z6" s="46">
        <v>1</v>
      </c>
      <c r="AA6" s="46" t="s">
        <v>59</v>
      </c>
      <c r="AB6" s="46" t="s">
        <v>53</v>
      </c>
      <c r="AC6" s="46" t="s">
        <v>54</v>
      </c>
      <c r="AD6" s="46" t="s">
        <v>55</v>
      </c>
      <c r="AE6" s="46"/>
      <c r="AF6" s="46"/>
      <c r="AG6" s="46" t="s">
        <v>53</v>
      </c>
      <c r="AH6" s="46" t="s">
        <v>53</v>
      </c>
      <c r="AI6" s="46" t="s">
        <v>53</v>
      </c>
      <c r="AJ6" s="46" t="s">
        <v>53</v>
      </c>
      <c r="AK6" s="46" t="s">
        <v>53</v>
      </c>
      <c r="AL6" s="46" t="s">
        <v>53</v>
      </c>
      <c r="AM6" s="46" t="s">
        <v>53</v>
      </c>
      <c r="AN6" s="46" t="s">
        <v>53</v>
      </c>
      <c r="AO6" s="46" t="s">
        <v>53</v>
      </c>
      <c r="AP6" s="46" t="s">
        <v>53</v>
      </c>
      <c r="AQ6" s="46" t="s">
        <v>53</v>
      </c>
      <c r="AR6" s="46" t="s">
        <v>53</v>
      </c>
    </row>
    <row r="7" spans="1:44" s="55" customFormat="1" x14ac:dyDescent="0.3">
      <c r="A7" s="46" t="s">
        <v>96</v>
      </c>
      <c r="B7" s="46" t="s">
        <v>97</v>
      </c>
      <c r="C7" s="47">
        <v>45282</v>
      </c>
      <c r="D7" s="48">
        <v>190000</v>
      </c>
      <c r="E7" s="46" t="s">
        <v>46</v>
      </c>
      <c r="F7" s="46" t="s">
        <v>47</v>
      </c>
      <c r="G7" s="48">
        <v>190000</v>
      </c>
      <c r="H7" s="48">
        <v>67400</v>
      </c>
      <c r="I7" s="49">
        <f t="shared" si="0"/>
        <v>35.473684210526315</v>
      </c>
      <c r="J7" s="48">
        <v>179517</v>
      </c>
      <c r="K7" s="48">
        <f>G7-172677</f>
        <v>17323</v>
      </c>
      <c r="L7" s="48">
        <v>6840</v>
      </c>
      <c r="M7" s="50">
        <v>72</v>
      </c>
      <c r="N7" s="51">
        <v>165</v>
      </c>
      <c r="O7" s="52">
        <v>0.27300000000000002</v>
      </c>
      <c r="P7" s="52">
        <v>0.27300000000000002</v>
      </c>
      <c r="Q7" s="48">
        <f t="shared" si="1"/>
        <v>240.59722222222223</v>
      </c>
      <c r="R7" s="48">
        <f t="shared" si="2"/>
        <v>63454.212454212451</v>
      </c>
      <c r="S7" s="53">
        <f t="shared" si="3"/>
        <v>1.456708274890093</v>
      </c>
      <c r="T7" s="52">
        <v>72</v>
      </c>
      <c r="U7" s="54" t="s">
        <v>48</v>
      </c>
      <c r="V7" s="46" t="s">
        <v>98</v>
      </c>
      <c r="W7" s="46" t="s">
        <v>53</v>
      </c>
      <c r="X7" s="46" t="s">
        <v>51</v>
      </c>
      <c r="Y7" s="46">
        <v>0</v>
      </c>
      <c r="Z7" s="46">
        <v>1</v>
      </c>
      <c r="AA7" s="46" t="s">
        <v>70</v>
      </c>
      <c r="AB7" s="46" t="s">
        <v>53</v>
      </c>
      <c r="AC7" s="46" t="s">
        <v>54</v>
      </c>
      <c r="AD7" s="46" t="s">
        <v>55</v>
      </c>
      <c r="AE7" s="46" t="s">
        <v>55</v>
      </c>
      <c r="AF7" s="46"/>
      <c r="AG7" s="46" t="s">
        <v>53</v>
      </c>
      <c r="AH7" s="46" t="s">
        <v>53</v>
      </c>
      <c r="AI7" s="46" t="s">
        <v>53</v>
      </c>
      <c r="AJ7" s="46" t="s">
        <v>53</v>
      </c>
      <c r="AK7" s="46" t="s">
        <v>53</v>
      </c>
      <c r="AL7" s="46" t="s">
        <v>53</v>
      </c>
      <c r="AM7" s="46" t="s">
        <v>53</v>
      </c>
      <c r="AN7" s="46" t="s">
        <v>53</v>
      </c>
      <c r="AO7" s="46" t="s">
        <v>53</v>
      </c>
      <c r="AP7" s="46" t="s">
        <v>53</v>
      </c>
      <c r="AQ7" s="46" t="s">
        <v>53</v>
      </c>
      <c r="AR7" s="46" t="s">
        <v>53</v>
      </c>
    </row>
    <row r="8" spans="1:44" x14ac:dyDescent="0.3">
      <c r="A8" s="10" t="s">
        <v>62</v>
      </c>
      <c r="B8" s="10" t="s">
        <v>63</v>
      </c>
      <c r="C8" s="11">
        <v>45355</v>
      </c>
      <c r="D8" s="12">
        <v>10000</v>
      </c>
      <c r="E8" s="10" t="s">
        <v>46</v>
      </c>
      <c r="F8" s="10" t="s">
        <v>47</v>
      </c>
      <c r="G8" s="12">
        <v>10000</v>
      </c>
      <c r="H8" s="12">
        <v>2100</v>
      </c>
      <c r="I8" s="13">
        <f t="shared" si="0"/>
        <v>21</v>
      </c>
      <c r="J8" s="12">
        <v>6270</v>
      </c>
      <c r="K8" s="12">
        <f>G8-0</f>
        <v>10000</v>
      </c>
      <c r="L8" s="12">
        <v>6270</v>
      </c>
      <c r="M8" s="14">
        <v>66</v>
      </c>
      <c r="N8" s="15">
        <v>165</v>
      </c>
      <c r="O8" s="16">
        <v>0.25</v>
      </c>
      <c r="P8" s="16">
        <v>0.25</v>
      </c>
      <c r="Q8" s="12">
        <f t="shared" si="1"/>
        <v>151.5151515151515</v>
      </c>
      <c r="R8" s="12">
        <f t="shared" si="2"/>
        <v>40000</v>
      </c>
      <c r="S8" s="17">
        <f t="shared" si="3"/>
        <v>0.91827364554637281</v>
      </c>
      <c r="T8" s="16">
        <v>66</v>
      </c>
      <c r="U8" s="18" t="s">
        <v>48</v>
      </c>
      <c r="V8" s="10" t="s">
        <v>64</v>
      </c>
      <c r="W8" s="10" t="s">
        <v>53</v>
      </c>
      <c r="X8" s="10" t="s">
        <v>51</v>
      </c>
      <c r="Y8" s="10">
        <v>0</v>
      </c>
      <c r="Z8" s="10">
        <v>1</v>
      </c>
      <c r="AA8" s="10" t="s">
        <v>65</v>
      </c>
      <c r="AB8" s="10" t="s">
        <v>53</v>
      </c>
      <c r="AC8" s="10" t="s">
        <v>66</v>
      </c>
      <c r="AD8" s="10" t="s">
        <v>55</v>
      </c>
      <c r="AE8" s="10"/>
      <c r="AF8" s="10"/>
      <c r="AG8" s="10" t="s">
        <v>53</v>
      </c>
      <c r="AH8" s="10" t="s">
        <v>53</v>
      </c>
      <c r="AI8" s="10" t="s">
        <v>53</v>
      </c>
      <c r="AJ8" s="10" t="s">
        <v>53</v>
      </c>
      <c r="AK8" s="10" t="s">
        <v>53</v>
      </c>
      <c r="AL8" s="10" t="s">
        <v>53</v>
      </c>
      <c r="AM8" s="10" t="s">
        <v>53</v>
      </c>
      <c r="AN8" s="10" t="s">
        <v>53</v>
      </c>
      <c r="AO8" s="10" t="s">
        <v>53</v>
      </c>
      <c r="AP8" s="10" t="s">
        <v>53</v>
      </c>
      <c r="AQ8" s="10" t="s">
        <v>53</v>
      </c>
      <c r="AR8" s="10" t="s">
        <v>53</v>
      </c>
    </row>
    <row r="9" spans="1:44" s="55" customFormat="1" x14ac:dyDescent="0.3">
      <c r="A9" s="46" t="s">
        <v>44</v>
      </c>
      <c r="B9" s="46" t="s">
        <v>45</v>
      </c>
      <c r="C9" s="47">
        <v>45376</v>
      </c>
      <c r="D9" s="48">
        <v>217000</v>
      </c>
      <c r="E9" s="46" t="s">
        <v>46</v>
      </c>
      <c r="F9" s="46" t="s">
        <v>47</v>
      </c>
      <c r="G9" s="48">
        <v>212660</v>
      </c>
      <c r="H9" s="48">
        <v>73700</v>
      </c>
      <c r="I9" s="49">
        <f t="shared" si="0"/>
        <v>34.656258816890812</v>
      </c>
      <c r="J9" s="48">
        <v>192095</v>
      </c>
      <c r="K9" s="48">
        <f>G9-176007</f>
        <v>36653</v>
      </c>
      <c r="L9" s="48">
        <v>16088</v>
      </c>
      <c r="M9" s="50">
        <v>247.5</v>
      </c>
      <c r="N9" s="51">
        <v>66</v>
      </c>
      <c r="O9" s="52">
        <v>0.375</v>
      </c>
      <c r="P9" s="52">
        <v>0.375</v>
      </c>
      <c r="Q9" s="48">
        <f t="shared" si="1"/>
        <v>148.09292929292928</v>
      </c>
      <c r="R9" s="48">
        <f t="shared" si="2"/>
        <v>97741.333333333328</v>
      </c>
      <c r="S9" s="53">
        <f t="shared" si="3"/>
        <v>2.24383226201408</v>
      </c>
      <c r="T9" s="52">
        <v>247.5</v>
      </c>
      <c r="U9" s="54" t="s">
        <v>48</v>
      </c>
      <c r="V9" s="46" t="s">
        <v>49</v>
      </c>
      <c r="W9" s="46" t="s">
        <v>50</v>
      </c>
      <c r="X9" s="46" t="s">
        <v>51</v>
      </c>
      <c r="Y9" s="46">
        <v>0</v>
      </c>
      <c r="Z9" s="46">
        <v>1</v>
      </c>
      <c r="AA9" s="46" t="s">
        <v>52</v>
      </c>
      <c r="AB9" s="46" t="s">
        <v>53</v>
      </c>
      <c r="AC9" s="46" t="s">
        <v>54</v>
      </c>
      <c r="AD9" s="46" t="s">
        <v>55</v>
      </c>
      <c r="AE9" s="46" t="s">
        <v>55</v>
      </c>
      <c r="AF9" s="46" t="s">
        <v>55</v>
      </c>
      <c r="AG9" s="46" t="s">
        <v>53</v>
      </c>
      <c r="AH9" s="46" t="s">
        <v>53</v>
      </c>
      <c r="AI9" s="46" t="s">
        <v>53</v>
      </c>
      <c r="AJ9" s="46" t="s">
        <v>53</v>
      </c>
      <c r="AK9" s="46" t="s">
        <v>53</v>
      </c>
      <c r="AL9" s="46" t="s">
        <v>53</v>
      </c>
      <c r="AM9" s="46" t="s">
        <v>53</v>
      </c>
      <c r="AN9" s="46" t="s">
        <v>53</v>
      </c>
      <c r="AO9" s="46" t="s">
        <v>53</v>
      </c>
      <c r="AP9" s="46" t="s">
        <v>53</v>
      </c>
      <c r="AQ9" s="46" t="s">
        <v>53</v>
      </c>
      <c r="AR9" s="46" t="s">
        <v>53</v>
      </c>
    </row>
    <row r="10" spans="1:44" s="55" customFormat="1" x14ac:dyDescent="0.3">
      <c r="A10" s="56" t="s">
        <v>67</v>
      </c>
      <c r="B10" s="56" t="s">
        <v>68</v>
      </c>
      <c r="C10" s="57">
        <v>45527</v>
      </c>
      <c r="D10" s="58">
        <v>159900</v>
      </c>
      <c r="E10" s="56" t="s">
        <v>46</v>
      </c>
      <c r="F10" s="56" t="s">
        <v>47</v>
      </c>
      <c r="G10" s="58">
        <v>159900</v>
      </c>
      <c r="H10" s="58">
        <v>70000</v>
      </c>
      <c r="I10" s="59">
        <f t="shared" si="0"/>
        <v>43.777360850531579</v>
      </c>
      <c r="J10" s="58">
        <v>138104</v>
      </c>
      <c r="K10" s="58">
        <f>G10-132024</f>
        <v>27876</v>
      </c>
      <c r="L10" s="58">
        <v>6080</v>
      </c>
      <c r="M10" s="60">
        <v>64</v>
      </c>
      <c r="N10" s="61">
        <v>163</v>
      </c>
      <c r="O10" s="62">
        <v>0.23899999999999999</v>
      </c>
      <c r="P10" s="62">
        <v>0.23899999999999999</v>
      </c>
      <c r="Q10" s="58">
        <f t="shared" si="1"/>
        <v>435.5625</v>
      </c>
      <c r="R10" s="58">
        <f t="shared" si="2"/>
        <v>116635.98326359833</v>
      </c>
      <c r="S10" s="63">
        <f t="shared" si="3"/>
        <v>2.6775937388337541</v>
      </c>
      <c r="T10" s="62">
        <v>64</v>
      </c>
      <c r="U10" s="64" t="s">
        <v>48</v>
      </c>
      <c r="V10" s="56" t="s">
        <v>69</v>
      </c>
      <c r="W10" s="56" t="s">
        <v>53</v>
      </c>
      <c r="X10" s="56" t="s">
        <v>51</v>
      </c>
      <c r="Y10" s="56">
        <v>0</v>
      </c>
      <c r="Z10" s="56">
        <v>1</v>
      </c>
      <c r="AA10" s="56" t="s">
        <v>59</v>
      </c>
      <c r="AB10" s="56" t="s">
        <v>53</v>
      </c>
      <c r="AC10" s="56" t="s">
        <v>54</v>
      </c>
      <c r="AD10" s="56" t="s">
        <v>55</v>
      </c>
      <c r="AE10" s="56"/>
      <c r="AF10" s="56"/>
      <c r="AG10" s="56" t="s">
        <v>53</v>
      </c>
      <c r="AH10" s="56" t="s">
        <v>53</v>
      </c>
      <c r="AI10" s="56" t="s">
        <v>53</v>
      </c>
      <c r="AJ10" s="56" t="s">
        <v>53</v>
      </c>
      <c r="AK10" s="56" t="s">
        <v>53</v>
      </c>
      <c r="AL10" s="56" t="s">
        <v>53</v>
      </c>
      <c r="AM10" s="56" t="s">
        <v>53</v>
      </c>
      <c r="AN10" s="56" t="s">
        <v>53</v>
      </c>
      <c r="AO10" s="56" t="s">
        <v>53</v>
      </c>
      <c r="AP10" s="56" t="s">
        <v>53</v>
      </c>
      <c r="AQ10" s="56" t="s">
        <v>53</v>
      </c>
      <c r="AR10" s="56" t="s">
        <v>53</v>
      </c>
    </row>
    <row r="11" spans="1:44" s="55" customFormat="1" x14ac:dyDescent="0.3">
      <c r="A11" s="56" t="s">
        <v>71</v>
      </c>
      <c r="B11" s="56" t="s">
        <v>72</v>
      </c>
      <c r="C11" s="57">
        <v>45552</v>
      </c>
      <c r="D11" s="58">
        <v>145000</v>
      </c>
      <c r="E11" s="56" t="s">
        <v>46</v>
      </c>
      <c r="F11" s="56" t="s">
        <v>47</v>
      </c>
      <c r="G11" s="58">
        <v>145000</v>
      </c>
      <c r="H11" s="58">
        <v>66500</v>
      </c>
      <c r="I11" s="59">
        <f t="shared" si="0"/>
        <v>45.862068965517238</v>
      </c>
      <c r="J11" s="58">
        <v>132164</v>
      </c>
      <c r="K11" s="58">
        <f>G11-125894</f>
        <v>19106</v>
      </c>
      <c r="L11" s="58">
        <v>6270</v>
      </c>
      <c r="M11" s="60">
        <v>66</v>
      </c>
      <c r="N11" s="61">
        <v>73.5</v>
      </c>
      <c r="O11" s="62">
        <v>0.111</v>
      </c>
      <c r="P11" s="62">
        <v>0.111</v>
      </c>
      <c r="Q11" s="58">
        <f t="shared" si="1"/>
        <v>289.4848484848485</v>
      </c>
      <c r="R11" s="58">
        <f t="shared" si="2"/>
        <v>172126.12612612612</v>
      </c>
      <c r="S11" s="63">
        <f t="shared" si="3"/>
        <v>3.9514721332903151</v>
      </c>
      <c r="T11" s="62">
        <v>66</v>
      </c>
      <c r="U11" s="64" t="s">
        <v>48</v>
      </c>
      <c r="V11" s="56" t="s">
        <v>73</v>
      </c>
      <c r="W11" s="56" t="s">
        <v>53</v>
      </c>
      <c r="X11" s="56" t="s">
        <v>51</v>
      </c>
      <c r="Y11" s="56">
        <v>0</v>
      </c>
      <c r="Z11" s="56">
        <v>1</v>
      </c>
      <c r="AA11" s="56" t="s">
        <v>61</v>
      </c>
      <c r="AB11" s="56" t="s">
        <v>53</v>
      </c>
      <c r="AC11" s="56" t="s">
        <v>54</v>
      </c>
      <c r="AD11" s="56" t="s">
        <v>55</v>
      </c>
      <c r="AE11" s="56"/>
      <c r="AF11" s="56"/>
      <c r="AG11" s="56" t="s">
        <v>53</v>
      </c>
      <c r="AH11" s="56" t="s">
        <v>53</v>
      </c>
      <c r="AI11" s="56" t="s">
        <v>53</v>
      </c>
      <c r="AJ11" s="56" t="s">
        <v>53</v>
      </c>
      <c r="AK11" s="56" t="s">
        <v>53</v>
      </c>
      <c r="AL11" s="56" t="s">
        <v>53</v>
      </c>
      <c r="AM11" s="56" t="s">
        <v>53</v>
      </c>
      <c r="AN11" s="56" t="s">
        <v>53</v>
      </c>
      <c r="AO11" s="56" t="s">
        <v>53</v>
      </c>
      <c r="AP11" s="56" t="s">
        <v>53</v>
      </c>
      <c r="AQ11" s="56" t="s">
        <v>53</v>
      </c>
      <c r="AR11" s="56" t="s">
        <v>53</v>
      </c>
    </row>
    <row r="12" spans="1:44" s="55" customFormat="1" x14ac:dyDescent="0.3">
      <c r="A12" s="46" t="s">
        <v>74</v>
      </c>
      <c r="B12" s="46" t="s">
        <v>75</v>
      </c>
      <c r="C12" s="47">
        <v>45558</v>
      </c>
      <c r="D12" s="48">
        <v>165000</v>
      </c>
      <c r="E12" s="46" t="s">
        <v>46</v>
      </c>
      <c r="F12" s="46" t="s">
        <v>47</v>
      </c>
      <c r="G12" s="48">
        <v>165000</v>
      </c>
      <c r="H12" s="48">
        <v>70000</v>
      </c>
      <c r="I12" s="49">
        <f t="shared" si="0"/>
        <v>42.424242424242422</v>
      </c>
      <c r="J12" s="48">
        <v>139110</v>
      </c>
      <c r="K12" s="48">
        <f>G12-132555</f>
        <v>32445</v>
      </c>
      <c r="L12" s="48">
        <v>6555</v>
      </c>
      <c r="M12" s="50">
        <v>69</v>
      </c>
      <c r="N12" s="51">
        <v>118</v>
      </c>
      <c r="O12" s="52">
        <v>0.187</v>
      </c>
      <c r="P12" s="52">
        <v>0.187</v>
      </c>
      <c r="Q12" s="48">
        <f t="shared" si="1"/>
        <v>470.21739130434781</v>
      </c>
      <c r="R12" s="48">
        <f t="shared" si="2"/>
        <v>173502.67379679144</v>
      </c>
      <c r="S12" s="53">
        <f t="shared" si="3"/>
        <v>3.9830733194855701</v>
      </c>
      <c r="T12" s="52">
        <v>69</v>
      </c>
      <c r="U12" s="54" t="s">
        <v>48</v>
      </c>
      <c r="V12" s="46" t="s">
        <v>76</v>
      </c>
      <c r="W12" s="46" t="s">
        <v>53</v>
      </c>
      <c r="X12" s="46" t="s">
        <v>51</v>
      </c>
      <c r="Y12" s="46">
        <v>0</v>
      </c>
      <c r="Z12" s="46">
        <v>1</v>
      </c>
      <c r="AA12" s="46" t="s">
        <v>77</v>
      </c>
      <c r="AB12" s="46" t="s">
        <v>53</v>
      </c>
      <c r="AC12" s="46" t="s">
        <v>54</v>
      </c>
      <c r="AD12" s="46" t="s">
        <v>55</v>
      </c>
      <c r="AE12" s="46"/>
      <c r="AF12" s="46"/>
      <c r="AG12" s="46" t="s">
        <v>53</v>
      </c>
      <c r="AH12" s="46" t="s">
        <v>53</v>
      </c>
      <c r="AI12" s="46" t="s">
        <v>53</v>
      </c>
      <c r="AJ12" s="46" t="s">
        <v>53</v>
      </c>
      <c r="AK12" s="46" t="s">
        <v>53</v>
      </c>
      <c r="AL12" s="46" t="s">
        <v>53</v>
      </c>
      <c r="AM12" s="46" t="s">
        <v>53</v>
      </c>
      <c r="AN12" s="46" t="s">
        <v>53</v>
      </c>
      <c r="AO12" s="46" t="s">
        <v>53</v>
      </c>
      <c r="AP12" s="46" t="s">
        <v>53</v>
      </c>
      <c r="AQ12" s="46" t="s">
        <v>53</v>
      </c>
      <c r="AR12" s="46" t="s">
        <v>53</v>
      </c>
    </row>
    <row r="13" spans="1:44" s="55" customFormat="1" x14ac:dyDescent="0.3">
      <c r="A13" s="56" t="s">
        <v>90</v>
      </c>
      <c r="B13" s="56" t="s">
        <v>91</v>
      </c>
      <c r="C13" s="57">
        <v>45595</v>
      </c>
      <c r="D13" s="58">
        <v>155000</v>
      </c>
      <c r="E13" s="56" t="s">
        <v>46</v>
      </c>
      <c r="F13" s="56" t="s">
        <v>47</v>
      </c>
      <c r="G13" s="58">
        <v>155000</v>
      </c>
      <c r="H13" s="58">
        <v>69400</v>
      </c>
      <c r="I13" s="59">
        <f t="shared" si="0"/>
        <v>44.774193548387096</v>
      </c>
      <c r="J13" s="58">
        <v>138993</v>
      </c>
      <c r="K13" s="58">
        <f>G13-129018</f>
        <v>25982</v>
      </c>
      <c r="L13" s="58">
        <v>9975</v>
      </c>
      <c r="M13" s="60">
        <v>105</v>
      </c>
      <c r="N13" s="61">
        <v>165</v>
      </c>
      <c r="O13" s="62">
        <v>0.39800000000000002</v>
      </c>
      <c r="P13" s="62">
        <v>0.39800000000000002</v>
      </c>
      <c r="Q13" s="58">
        <f t="shared" si="1"/>
        <v>247.44761904761904</v>
      </c>
      <c r="R13" s="58">
        <f t="shared" si="2"/>
        <v>65281.407035175878</v>
      </c>
      <c r="S13" s="63">
        <f t="shared" si="3"/>
        <v>1.4986548906146895</v>
      </c>
      <c r="T13" s="62">
        <v>105</v>
      </c>
      <c r="U13" s="64" t="s">
        <v>48</v>
      </c>
      <c r="V13" s="56" t="s">
        <v>92</v>
      </c>
      <c r="W13" s="56" t="s">
        <v>53</v>
      </c>
      <c r="X13" s="56" t="s">
        <v>51</v>
      </c>
      <c r="Y13" s="56">
        <v>0</v>
      </c>
      <c r="Z13" s="56">
        <v>1</v>
      </c>
      <c r="AA13" s="56" t="s">
        <v>70</v>
      </c>
      <c r="AB13" s="56" t="s">
        <v>53</v>
      </c>
      <c r="AC13" s="56" t="s">
        <v>54</v>
      </c>
      <c r="AD13" s="56" t="s">
        <v>55</v>
      </c>
      <c r="AE13" s="56"/>
      <c r="AF13" s="56"/>
      <c r="AG13" s="56" t="s">
        <v>53</v>
      </c>
      <c r="AH13" s="56" t="s">
        <v>53</v>
      </c>
      <c r="AI13" s="56" t="s">
        <v>53</v>
      </c>
      <c r="AJ13" s="56" t="s">
        <v>53</v>
      </c>
      <c r="AK13" s="56" t="s">
        <v>53</v>
      </c>
      <c r="AL13" s="56" t="s">
        <v>53</v>
      </c>
      <c r="AM13" s="56" t="s">
        <v>53</v>
      </c>
      <c r="AN13" s="56" t="s">
        <v>53</v>
      </c>
      <c r="AO13" s="56" t="s">
        <v>53</v>
      </c>
      <c r="AP13" s="56" t="s">
        <v>53</v>
      </c>
      <c r="AQ13" s="56" t="s">
        <v>53</v>
      </c>
      <c r="AR13" s="56" t="s">
        <v>53</v>
      </c>
    </row>
    <row r="14" spans="1:44" s="55" customFormat="1" x14ac:dyDescent="0.3">
      <c r="A14" s="46" t="s">
        <v>86</v>
      </c>
      <c r="B14" s="46" t="s">
        <v>87</v>
      </c>
      <c r="C14" s="47">
        <v>45597</v>
      </c>
      <c r="D14" s="48">
        <v>155000</v>
      </c>
      <c r="E14" s="46" t="s">
        <v>46</v>
      </c>
      <c r="F14" s="46" t="s">
        <v>47</v>
      </c>
      <c r="G14" s="48">
        <v>155000</v>
      </c>
      <c r="H14" s="48">
        <v>35500</v>
      </c>
      <c r="I14" s="49">
        <f t="shared" si="0"/>
        <v>22.903225806451612</v>
      </c>
      <c r="J14" s="48">
        <v>100357</v>
      </c>
      <c r="K14" s="48">
        <f>G14-90952</f>
        <v>64048</v>
      </c>
      <c r="L14" s="48">
        <v>9405</v>
      </c>
      <c r="M14" s="50">
        <v>99</v>
      </c>
      <c r="N14" s="51">
        <v>66</v>
      </c>
      <c r="O14" s="52">
        <v>0.15</v>
      </c>
      <c r="P14" s="52">
        <v>0.15</v>
      </c>
      <c r="Q14" s="48">
        <f t="shared" si="1"/>
        <v>646.94949494949492</v>
      </c>
      <c r="R14" s="48">
        <f t="shared" si="2"/>
        <v>426986.66666666669</v>
      </c>
      <c r="S14" s="53">
        <f t="shared" si="3"/>
        <v>9.8022650749923486</v>
      </c>
      <c r="T14" s="52">
        <v>99</v>
      </c>
      <c r="U14" s="54" t="s">
        <v>48</v>
      </c>
      <c r="V14" s="46" t="s">
        <v>88</v>
      </c>
      <c r="W14" s="46" t="s">
        <v>53</v>
      </c>
      <c r="X14" s="46" t="s">
        <v>51</v>
      </c>
      <c r="Y14" s="46">
        <v>0</v>
      </c>
      <c r="Z14" s="46">
        <v>1</v>
      </c>
      <c r="AA14" s="46" t="s">
        <v>89</v>
      </c>
      <c r="AB14" s="46" t="s">
        <v>53</v>
      </c>
      <c r="AC14" s="46" t="s">
        <v>54</v>
      </c>
      <c r="AD14" s="46" t="s">
        <v>55</v>
      </c>
      <c r="AE14" s="46" t="s">
        <v>55</v>
      </c>
      <c r="AF14" s="46"/>
      <c r="AG14" s="46" t="s">
        <v>53</v>
      </c>
      <c r="AH14" s="46" t="s">
        <v>53</v>
      </c>
      <c r="AI14" s="46" t="s">
        <v>53</v>
      </c>
      <c r="AJ14" s="46" t="s">
        <v>53</v>
      </c>
      <c r="AK14" s="46" t="s">
        <v>53</v>
      </c>
      <c r="AL14" s="46" t="s">
        <v>53</v>
      </c>
      <c r="AM14" s="46" t="s">
        <v>53</v>
      </c>
      <c r="AN14" s="46" t="s">
        <v>53</v>
      </c>
      <c r="AO14" s="46" t="s">
        <v>53</v>
      </c>
      <c r="AP14" s="46" t="s">
        <v>53</v>
      </c>
      <c r="AQ14" s="46" t="s">
        <v>53</v>
      </c>
      <c r="AR14" s="46" t="s">
        <v>53</v>
      </c>
    </row>
    <row r="15" spans="1:44" s="55" customFormat="1" x14ac:dyDescent="0.3">
      <c r="A15" s="56" t="s">
        <v>82</v>
      </c>
      <c r="B15" s="56" t="s">
        <v>83</v>
      </c>
      <c r="C15" s="57">
        <v>45639</v>
      </c>
      <c r="D15" s="58">
        <v>222000</v>
      </c>
      <c r="E15" s="56" t="s">
        <v>46</v>
      </c>
      <c r="F15" s="56" t="s">
        <v>47</v>
      </c>
      <c r="G15" s="58">
        <v>222000</v>
      </c>
      <c r="H15" s="58">
        <v>95500</v>
      </c>
      <c r="I15" s="59">
        <f t="shared" si="0"/>
        <v>43.018018018018019</v>
      </c>
      <c r="J15" s="58">
        <v>190913</v>
      </c>
      <c r="K15" s="58">
        <f>G15-178373</f>
        <v>43627</v>
      </c>
      <c r="L15" s="58">
        <v>12540</v>
      </c>
      <c r="M15" s="60">
        <v>132</v>
      </c>
      <c r="N15" s="61">
        <v>148.5</v>
      </c>
      <c r="O15" s="62">
        <v>0.45</v>
      </c>
      <c r="P15" s="62">
        <v>0.45</v>
      </c>
      <c r="Q15" s="58">
        <f t="shared" si="1"/>
        <v>330.50757575757575</v>
      </c>
      <c r="R15" s="58">
        <f t="shared" si="2"/>
        <v>96948.888888888891</v>
      </c>
      <c r="S15" s="63">
        <f t="shared" si="3"/>
        <v>2.2256402407917562</v>
      </c>
      <c r="T15" s="62">
        <v>132</v>
      </c>
      <c r="U15" s="64" t="s">
        <v>48</v>
      </c>
      <c r="V15" s="56" t="s">
        <v>84</v>
      </c>
      <c r="W15" s="56" t="s">
        <v>53</v>
      </c>
      <c r="X15" s="56" t="s">
        <v>51</v>
      </c>
      <c r="Y15" s="56">
        <v>0</v>
      </c>
      <c r="Z15" s="56">
        <v>1</v>
      </c>
      <c r="AA15" s="56" t="s">
        <v>85</v>
      </c>
      <c r="AB15" s="56" t="s">
        <v>53</v>
      </c>
      <c r="AC15" s="56" t="s">
        <v>54</v>
      </c>
      <c r="AD15" s="56" t="s">
        <v>55</v>
      </c>
      <c r="AE15" s="56" t="s">
        <v>55</v>
      </c>
      <c r="AF15" s="56"/>
      <c r="AG15" s="56" t="s">
        <v>53</v>
      </c>
      <c r="AH15" s="56" t="s">
        <v>53</v>
      </c>
      <c r="AI15" s="56" t="s">
        <v>53</v>
      </c>
      <c r="AJ15" s="56" t="s">
        <v>53</v>
      </c>
      <c r="AK15" s="56" t="s">
        <v>53</v>
      </c>
      <c r="AL15" s="56" t="s">
        <v>53</v>
      </c>
      <c r="AM15" s="56" t="s">
        <v>53</v>
      </c>
      <c r="AN15" s="56" t="s">
        <v>53</v>
      </c>
      <c r="AO15" s="56" t="s">
        <v>53</v>
      </c>
      <c r="AP15" s="56" t="s">
        <v>53</v>
      </c>
      <c r="AQ15" s="56" t="s">
        <v>53</v>
      </c>
      <c r="AR15" s="56" t="s">
        <v>53</v>
      </c>
    </row>
    <row r="16" spans="1:44" x14ac:dyDescent="0.3">
      <c r="A16" s="28"/>
      <c r="B16" s="28"/>
      <c r="C16" s="29" t="s">
        <v>107</v>
      </c>
      <c r="D16" s="30">
        <f>+SUM(D2:D15)</f>
        <v>2204544</v>
      </c>
      <c r="E16" s="28"/>
      <c r="F16" s="28"/>
      <c r="G16" s="30">
        <f>+SUM(G2:G15)</f>
        <v>2200204</v>
      </c>
      <c r="H16" s="30">
        <f>+SUM(H2:H15)</f>
        <v>840900</v>
      </c>
      <c r="I16" s="31"/>
      <c r="J16" s="30">
        <f>+SUM(J2:J15)</f>
        <v>1994459</v>
      </c>
      <c r="K16" s="30">
        <f>+SUM(K2:K15)</f>
        <v>328518</v>
      </c>
      <c r="L16" s="30">
        <f>+SUM(L2:L15)</f>
        <v>122773</v>
      </c>
      <c r="M16" s="32">
        <f>+SUM(M2:M15)</f>
        <v>1370.5</v>
      </c>
      <c r="N16" s="33"/>
      <c r="O16" s="34">
        <f>+SUM(O2:O15)</f>
        <v>3.4980000000000002</v>
      </c>
      <c r="P16" s="34">
        <f>+SUM(P2:P15)</f>
        <v>3.4980000000000002</v>
      </c>
      <c r="Q16" s="30"/>
      <c r="R16" s="30"/>
      <c r="S16" s="35"/>
      <c r="T16" s="34"/>
      <c r="U16" s="36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</row>
    <row r="17" spans="1:44" x14ac:dyDescent="0.3">
      <c r="A17" s="19"/>
      <c r="B17" s="19"/>
      <c r="C17" s="20"/>
      <c r="D17" s="21"/>
      <c r="E17" s="19"/>
      <c r="F17" s="19"/>
      <c r="G17" s="21"/>
      <c r="H17" s="21" t="s">
        <v>108</v>
      </c>
      <c r="I17" s="22">
        <f>H16/G16*100</f>
        <v>38.219183312092881</v>
      </c>
      <c r="J17" s="21"/>
      <c r="K17" s="21"/>
      <c r="L17" s="21" t="s">
        <v>110</v>
      </c>
      <c r="M17" s="23"/>
      <c r="N17" s="24"/>
      <c r="O17" s="25" t="s">
        <v>110</v>
      </c>
      <c r="P17" s="25"/>
      <c r="Q17" s="21"/>
      <c r="R17" s="21" t="s">
        <v>110</v>
      </c>
      <c r="S17" s="26"/>
      <c r="T17" s="25"/>
      <c r="U17" s="27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</row>
    <row r="18" spans="1:44" x14ac:dyDescent="0.3">
      <c r="A18" s="37"/>
      <c r="B18" s="37"/>
      <c r="C18" s="38"/>
      <c r="D18" s="39"/>
      <c r="E18" s="37"/>
      <c r="F18" s="37"/>
      <c r="G18" s="39"/>
      <c r="H18" s="39" t="s">
        <v>109</v>
      </c>
      <c r="I18" s="40">
        <f>STDEV(I2:I15)</f>
        <v>7.5512200992845493</v>
      </c>
      <c r="J18" s="39"/>
      <c r="K18" s="39"/>
      <c r="L18" s="39" t="s">
        <v>111</v>
      </c>
      <c r="M18" s="45">
        <f>K16/M16</f>
        <v>239.70667639547611</v>
      </c>
      <c r="N18" s="41"/>
      <c r="O18" s="42" t="s">
        <v>112</v>
      </c>
      <c r="P18" s="42">
        <f>K16/O16</f>
        <v>93915.951972555747</v>
      </c>
      <c r="Q18" s="39"/>
      <c r="R18" s="39" t="s">
        <v>113</v>
      </c>
      <c r="S18" s="43">
        <f>K16/O16/43560</f>
        <v>2.1560135898199206</v>
      </c>
      <c r="T18" s="42"/>
      <c r="U18" s="44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</row>
    <row r="21" spans="1:44" ht="15.6" x14ac:dyDescent="0.3">
      <c r="B21" s="65" t="s">
        <v>115</v>
      </c>
      <c r="C21" s="66"/>
      <c r="D21" s="67"/>
      <c r="E21" s="65"/>
    </row>
    <row r="22" spans="1:44" ht="15.6" x14ac:dyDescent="0.3">
      <c r="B22" s="65" t="s">
        <v>114</v>
      </c>
      <c r="C22" s="66"/>
      <c r="D22" s="67"/>
      <c r="E22" s="65"/>
    </row>
    <row r="23" spans="1:44" ht="15.6" x14ac:dyDescent="0.3">
      <c r="B23" s="65" t="s">
        <v>116</v>
      </c>
      <c r="C23" s="66"/>
      <c r="D23" s="67"/>
      <c r="E23" s="65"/>
    </row>
    <row r="24" spans="1:44" ht="15.6" x14ac:dyDescent="0.3">
      <c r="B24" s="65" t="s">
        <v>117</v>
      </c>
      <c r="C24" s="66"/>
      <c r="D24" s="67"/>
      <c r="E24" s="65"/>
    </row>
    <row r="25" spans="1:44" x14ac:dyDescent="0.3">
      <c r="B25" s="68"/>
      <c r="C25" s="69"/>
      <c r="D25" s="70"/>
      <c r="E25" s="68"/>
    </row>
    <row r="26" spans="1:44" ht="15.6" x14ac:dyDescent="0.3">
      <c r="B26" s="65"/>
      <c r="C26" s="69"/>
      <c r="D26" s="70"/>
      <c r="E26" s="68"/>
    </row>
    <row r="27" spans="1:44" ht="15.6" x14ac:dyDescent="0.3">
      <c r="B27" s="65"/>
      <c r="C27" s="69"/>
      <c r="D27" s="70"/>
      <c r="E27" s="68"/>
    </row>
  </sheetData>
  <sheetProtection algorithmName="SHA-512" hashValue="5MNXN3hF26Gc5W2O5f8IpQLkmLm7CEqWlNw4jKchzknsrTDZhqFBqeP5krBe/KW8bb2UNZc6vgAGCA8vR83xAA==" saltValue="f71KyS4qz71rVAzF1As/sw==" spinCount="100000" sheet="1" objects="1" scenarios="1"/>
  <sortState xmlns:xlrd2="http://schemas.microsoft.com/office/spreadsheetml/2017/richdata2" ref="A2:AR23">
    <sortCondition ref="C2:C23"/>
  </sortState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Land 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Brandi Clark</cp:lastModifiedBy>
  <dcterms:created xsi:type="dcterms:W3CDTF">2026-01-27T14:50:00Z</dcterms:created>
  <dcterms:modified xsi:type="dcterms:W3CDTF">2026-03-09T13:17:24Z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</Properties>
</file>